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<sst xmlns="http://schemas.openxmlformats.org/spreadsheetml/2006/main" count="628" uniqueCount="157">
  <si>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</si>
  <si>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</si>
  <si>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</si>
  <si>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</si>
  <si>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</si>
  <si>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</si>
  <si>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</si>
  <si>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</si>
  <si>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</si>
  <si>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</si>
  <si>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</si>
  <si>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</si>
  <si>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</si>
  <si>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</si>
  <si>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</si>
  <si>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</si>
  <si>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</si>
  <si>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</si>
  <si>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</si>
  <si>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</si>
  <si>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</si>
  <si>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</si>
  <si>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</si>
  <si>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</si>
  <si>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</si>
  <si>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</si>
  <si>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</si>
  <si>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</si>
  <si>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</si>
  <si>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</si>
  <si>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</si>
  <si>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</si>
  <si>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</si>
  <si>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</si>
  <si>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</si>
  <si>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</si>
  <si>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</si>
  <si>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</si>
  <si>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</si>
  <si>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</si>
  <si>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</si>
  <si>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</si>
  <si>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</si>
  <si>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</si>
  <si>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</si>
  <si>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</si>
  <si>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</si>
  <si>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</si>
  <si>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</si>
  <si>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</si>
  <si>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</si>
  <si>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</si>
  <si>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</si>
  <si>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</si>
  <si>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</si>
  <si>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</si>
  <si>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</si>
  <si>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</si>
  <si>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</si>
  <si>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</si>
  <si>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</si>
  <si>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</si>
  <si>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</si>
  <si>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</si>
  <si>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</si>
  <si>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</si>
  <si>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</si>
  <si>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</si>
  <si>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</si>
  <si>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</si>
  <si>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</si>
  <si>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</si>
  <si>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</si>
  <si>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</si>
  <si>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</si>
  <si>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</si>
  <si>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</si>
  <si>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</si>
  <si>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</si>
  <si>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</si>
  <si>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</si>
  <si>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</si>
  <si>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</si>
  <si>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</si>
  <si>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</si>
  <si>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</si>
  <si>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</si>
  <si>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</si>
  <si>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</si>
  <si>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</si>
  <si>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</si>
  <si>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</si>
  <si>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</si>
  <si>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</si>
  <si>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</si>
  <si>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</si>
  <si>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</si>
  <si>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</si>
  <si>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</si>
  <si>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</si>
  <si>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</si>
  <si>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</si>
  <si>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</si>
  <si>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</si>
  <si>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</si>
  <si>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</si>
  <si>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</si>
  <si>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</si>
  <si>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</si>
  <si>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</si>
  <si>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</si>
  <si>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</si>
  <si>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</si>
  <si>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</si>
  <si>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</si>
  <si>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</si>
  <si>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</si>
  <si>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</si>
  <si>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</si>
  <si>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</si>
  <si>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</si>
  <si>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</si>
  <si>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</si>
  <si>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</si>
  <si>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</si>
  <si>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</si>
  <si>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</si>
  <si>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</si>
  <si>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</si>
  <si>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</si>
  <si>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</si>
  <si>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</si>
  <si>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</si>
  <si>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</si>
  <si>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</si>
  <si>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</si>
  <si>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</si>
  <si>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</si>
  <si>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</si>
  <si>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</si>
  <si>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</si>
  <si>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</si>
  <si>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</si>
  <si>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</si>
  <si>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</si>
  <si>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</si>
  <si>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</si>
  <si>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</si>
  <si>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</si>
  <si>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</si>
  <si>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</si>
  <si>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</si>
  <si>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</si>
  <si>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</si>
  <si>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</si>
  <si>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05.04.2016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</si>
  <si>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04.04.16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</si>
</sst>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2" sqref="E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155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153</v>
      </c>
      <c r="N3" s="220" t="s">
        <v>154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150</v>
      </c>
      <c r="F4" s="203" t="s">
        <v>34</v>
      </c>
      <c r="G4" s="197" t="s">
        <v>151</v>
      </c>
      <c r="H4" s="205" t="s">
        <v>152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156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8.7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144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212351.62999999998</v>
      </c>
      <c r="G8" s="15">
        <f aca="true" t="shared" si="0" ref="G8:G21">F8-E8</f>
        <v>-59323.05000000002</v>
      </c>
      <c r="H8" s="38">
        <f>F8/E8*100</f>
        <v>78.16393857535783</v>
      </c>
      <c r="I8" s="28">
        <f>F8-D8</f>
        <v>-628698.37</v>
      </c>
      <c r="J8" s="28">
        <f>F8/D8*100</f>
        <v>25.248395458058376</v>
      </c>
      <c r="K8" s="15">
        <f>F8-139482.78</f>
        <v>72868.84999999998</v>
      </c>
      <c r="L8" s="15">
        <f>F8/139482.78*100</f>
        <v>152.24218358710658</v>
      </c>
      <c r="M8" s="15">
        <f>M9+M15+M18+M19+M20+M32+M17</f>
        <v>71360.49999999999</v>
      </c>
      <c r="N8" s="15">
        <f>N9+N15+N18+N19+N20+N32+N17</f>
        <v>2563.9199999999837</v>
      </c>
      <c r="O8" s="15">
        <f>N8-M8</f>
        <v>-68796.58</v>
      </c>
      <c r="P8" s="15">
        <f>N8/M8*100</f>
        <v>3.5929120451790335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113901.11</v>
      </c>
      <c r="G9" s="36">
        <f t="shared" si="0"/>
        <v>-31882.15999999999</v>
      </c>
      <c r="H9" s="32">
        <f>F9/E9*100</f>
        <v>78.13043979600678</v>
      </c>
      <c r="I9" s="42">
        <f>F9-D9</f>
        <v>-345798.89</v>
      </c>
      <c r="J9" s="42">
        <f>F9/D9*100</f>
        <v>24.777269958668697</v>
      </c>
      <c r="K9" s="106">
        <f>F9-78437.5</f>
        <v>35463.61</v>
      </c>
      <c r="L9" s="106">
        <f>F9/78437.5*100</f>
        <v>145.2125705179283</v>
      </c>
      <c r="M9" s="32">
        <f>E9-березень!E9</f>
        <v>39799.999999999985</v>
      </c>
      <c r="N9" s="178">
        <f>F9-березень!F9</f>
        <v>1619.2899999999936</v>
      </c>
      <c r="O9" s="40">
        <f>N9-M9</f>
        <v>-38180.70999999999</v>
      </c>
      <c r="P9" s="42">
        <f>N9/M9*100</f>
        <v>4.068567839195966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99819.08</v>
      </c>
      <c r="G10" s="109">
        <f t="shared" si="0"/>
        <v>-31097.759999999995</v>
      </c>
      <c r="H10" s="32">
        <f aca="true" t="shared" si="1" ref="H10:H31">F10/E10*100</f>
        <v>76.2461727612735</v>
      </c>
      <c r="I10" s="110">
        <f aca="true" t="shared" si="2" ref="I10:I32">F10-D10</f>
        <v>-311620.92</v>
      </c>
      <c r="J10" s="110">
        <f aca="true" t="shared" si="3" ref="J10:J31">F10/D10*100</f>
        <v>24.26090803033249</v>
      </c>
      <c r="K10" s="112">
        <f>F10-69239.48</f>
        <v>30579.600000000006</v>
      </c>
      <c r="L10" s="112">
        <f>F10/69239.48*100</f>
        <v>144.16497639785857</v>
      </c>
      <c r="M10" s="111">
        <f>E10-березень!E10</f>
        <v>36300</v>
      </c>
      <c r="N10" s="179">
        <f>F10-березень!F10</f>
        <v>1354.699999999997</v>
      </c>
      <c r="O10" s="112">
        <f aca="true" t="shared" si="4" ref="O10:O32">N10-M10</f>
        <v>-34945.3</v>
      </c>
      <c r="P10" s="42">
        <f aca="true" t="shared" si="5" ref="P10:P25">N10/M10*100</f>
        <v>3.731955922865006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8077.11</v>
      </c>
      <c r="G11" s="109">
        <f t="shared" si="0"/>
        <v>-557.8300000000008</v>
      </c>
      <c r="H11" s="32">
        <f t="shared" si="1"/>
        <v>93.53985088489323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E11-березень!E11</f>
        <v>1550.000000000001</v>
      </c>
      <c r="N11" s="179">
        <f>F11-березень!F11</f>
        <v>0</v>
      </c>
      <c r="O11" s="112">
        <f t="shared" si="4"/>
        <v>-1550.000000000001</v>
      </c>
      <c r="P11" s="42">
        <f t="shared" si="5"/>
        <v>0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2408.91</v>
      </c>
      <c r="G12" s="109">
        <f t="shared" si="0"/>
        <v>718.3</v>
      </c>
      <c r="H12" s="32">
        <f t="shared" si="1"/>
        <v>142.48762281070145</v>
      </c>
      <c r="I12" s="110">
        <f t="shared" si="2"/>
        <v>-4091.09</v>
      </c>
      <c r="J12" s="110">
        <f t="shared" si="3"/>
        <v>37.060153846153845</v>
      </c>
      <c r="K12" s="112">
        <f>F12-1215.38</f>
        <v>1193.5299999999997</v>
      </c>
      <c r="L12" s="112">
        <f>F12/1215.38*100</f>
        <v>198.20220836281655</v>
      </c>
      <c r="M12" s="111">
        <f>E12-березень!E12</f>
        <v>585</v>
      </c>
      <c r="N12" s="179">
        <f>F12-березень!F12</f>
        <v>29.440000000000055</v>
      </c>
      <c r="O12" s="112">
        <f t="shared" si="4"/>
        <v>-555.56</v>
      </c>
      <c r="P12" s="42">
        <f t="shared" si="5"/>
        <v>5.032478632478641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2472.71</v>
      </c>
      <c r="G13" s="109">
        <f t="shared" si="0"/>
        <v>-192.1300000000001</v>
      </c>
      <c r="H13" s="32">
        <f t="shared" si="1"/>
        <v>92.79018627760016</v>
      </c>
      <c r="I13" s="110">
        <f t="shared" si="2"/>
        <v>-9927.29</v>
      </c>
      <c r="J13" s="110">
        <f t="shared" si="3"/>
        <v>19.941209677419355</v>
      </c>
      <c r="K13" s="112">
        <f>F13-1220.33</f>
        <v>1252.38</v>
      </c>
      <c r="L13" s="112">
        <f>F13/1220.33*100</f>
        <v>202.62633877721603</v>
      </c>
      <c r="M13" s="111">
        <f>E13-березень!E13</f>
        <v>755.0000000000002</v>
      </c>
      <c r="N13" s="179">
        <f>F13-березень!F13</f>
        <v>47.76999999999998</v>
      </c>
      <c r="O13" s="112">
        <f t="shared" si="4"/>
        <v>-707.2300000000002</v>
      </c>
      <c r="P13" s="42">
        <f t="shared" si="5"/>
        <v>6.327152317880791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1123.3</v>
      </c>
      <c r="G14" s="109">
        <f t="shared" si="0"/>
        <v>-752.74</v>
      </c>
      <c r="H14" s="32">
        <f t="shared" si="1"/>
        <v>59.87612204430609</v>
      </c>
      <c r="I14" s="110">
        <f t="shared" si="2"/>
        <v>-5236.7</v>
      </c>
      <c r="J14" s="110">
        <f t="shared" si="3"/>
        <v>17.66194968553459</v>
      </c>
      <c r="K14" s="112">
        <f>F14-1859.78</f>
        <v>-736.48</v>
      </c>
      <c r="L14" s="112">
        <f>F14/1859.78*100</f>
        <v>60.3996171590188</v>
      </c>
      <c r="M14" s="111">
        <f>E14-березень!E14</f>
        <v>610</v>
      </c>
      <c r="N14" s="179">
        <f>F14-березень!F14</f>
        <v>187.38</v>
      </c>
      <c r="O14" s="112">
        <f t="shared" si="4"/>
        <v>-422.62</v>
      </c>
      <c r="P14" s="42">
        <f t="shared" si="5"/>
        <v>30.718032786885246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185.06</v>
      </c>
      <c r="G15" s="36">
        <f t="shared" si="0"/>
        <v>65.06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E15-березень!E15</f>
        <v>10</v>
      </c>
      <c r="N15" s="178">
        <f>F15-березень!F15</f>
        <v>0</v>
      </c>
      <c r="O15" s="40">
        <f t="shared" si="4"/>
        <v>-10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18277.33</v>
      </c>
      <c r="G19" s="36">
        <f t="shared" si="0"/>
        <v>-10283.07</v>
      </c>
      <c r="H19" s="32">
        <f t="shared" si="1"/>
        <v>63.99535720788224</v>
      </c>
      <c r="I19" s="42">
        <f t="shared" si="2"/>
        <v>-91622.67</v>
      </c>
      <c r="J19" s="42">
        <f t="shared" si="3"/>
        <v>16.630873521383077</v>
      </c>
      <c r="K19" s="185">
        <f>F19-10070.48</f>
        <v>8206.850000000002</v>
      </c>
      <c r="L19" s="185">
        <f>F19/10070.48*100</f>
        <v>181.49412937615688</v>
      </c>
      <c r="M19" s="32">
        <f>E19-березень!E19</f>
        <v>8500</v>
      </c>
      <c r="N19" s="178">
        <f>F19-березень!F19</f>
        <v>6.440000000002328</v>
      </c>
      <c r="O19" s="40">
        <f t="shared" si="4"/>
        <v>-8493.559999999998</v>
      </c>
      <c r="P19" s="42">
        <f t="shared" si="5"/>
        <v>0.07576470588238034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79882.28</v>
      </c>
      <c r="G20" s="36">
        <f t="shared" si="0"/>
        <v>-17318.73000000001</v>
      </c>
      <c r="H20" s="32">
        <f t="shared" si="1"/>
        <v>82.18256168325821</v>
      </c>
      <c r="I20" s="42">
        <f t="shared" si="2"/>
        <v>-191057.72</v>
      </c>
      <c r="J20" s="42">
        <f t="shared" si="3"/>
        <v>29.483383775005535</v>
      </c>
      <c r="K20" s="132">
        <f>F20-49978.98</f>
        <v>29903.299999999996</v>
      </c>
      <c r="L20" s="110">
        <f>F20/49978.98*100</f>
        <v>159.8317532690743</v>
      </c>
      <c r="M20" s="32">
        <f>M21+M25+M26+M27</f>
        <v>23050.5</v>
      </c>
      <c r="N20" s="178">
        <f>F20-березень!F20</f>
        <v>938.1899999999878</v>
      </c>
      <c r="O20" s="40">
        <f t="shared" si="4"/>
        <v>-22112.310000000012</v>
      </c>
      <c r="P20" s="42">
        <f t="shared" si="5"/>
        <v>4.0701503221187725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40698.37</v>
      </c>
      <c r="G21" s="36">
        <f t="shared" si="0"/>
        <v>-10987.89</v>
      </c>
      <c r="H21" s="32">
        <f t="shared" si="1"/>
        <v>78.74117802294072</v>
      </c>
      <c r="I21" s="42">
        <f t="shared" si="2"/>
        <v>-120701.63</v>
      </c>
      <c r="J21" s="42">
        <f t="shared" si="3"/>
        <v>25.215842627013636</v>
      </c>
      <c r="K21" s="132">
        <f>F21-24610.26</f>
        <v>16088.110000000004</v>
      </c>
      <c r="L21" s="110">
        <f>F21/24610.26*100</f>
        <v>165.37155641590135</v>
      </c>
      <c r="M21" s="32">
        <f>M22+M23+M24</f>
        <v>14845</v>
      </c>
      <c r="N21" s="178">
        <f>F21-березень!F21</f>
        <v>310.26000000000204</v>
      </c>
      <c r="O21" s="40">
        <f t="shared" si="4"/>
        <v>-14534.739999999998</v>
      </c>
      <c r="P21" s="42">
        <f t="shared" si="5"/>
        <v>2.0899966318625935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4281.37</v>
      </c>
      <c r="G22" s="109">
        <f>F22-E22</f>
        <v>-2350.2300000000005</v>
      </c>
      <c r="H22" s="111">
        <f t="shared" si="1"/>
        <v>64.56013631702756</v>
      </c>
      <c r="I22" s="110">
        <f t="shared" si="2"/>
        <v>-14218.630000000001</v>
      </c>
      <c r="J22" s="110">
        <f t="shared" si="3"/>
        <v>23.14254054054054</v>
      </c>
      <c r="K22" s="174">
        <f>F22-526.28</f>
        <v>3755.09</v>
      </c>
      <c r="L22" s="174">
        <f>F22/526.28*100</f>
        <v>813.5156190620963</v>
      </c>
      <c r="M22" s="111">
        <f>E22-березень!E22</f>
        <v>3100.0000000000005</v>
      </c>
      <c r="N22" s="179">
        <f>F22-березень!F22</f>
        <v>86.47999999999956</v>
      </c>
      <c r="O22" s="112">
        <f t="shared" si="4"/>
        <v>-3013.520000000001</v>
      </c>
      <c r="P22" s="110">
        <f t="shared" si="5"/>
        <v>2.7896774193548244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313.88</v>
      </c>
      <c r="G23" s="109">
        <f>F23-E23</f>
        <v>37.04000000000002</v>
      </c>
      <c r="H23" s="111">
        <f t="shared" si="1"/>
        <v>113.37956942638347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E23-березень!E23</f>
        <v>74.99999999999997</v>
      </c>
      <c r="N23" s="179">
        <f>F23-березень!F23</f>
        <v>0</v>
      </c>
      <c r="O23" s="112">
        <f t="shared" si="4"/>
        <v>-74.99999999999997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36103.12</v>
      </c>
      <c r="G24" s="109">
        <f>F24-E24</f>
        <v>-8674.699999999997</v>
      </c>
      <c r="H24" s="111">
        <f t="shared" si="1"/>
        <v>80.62723911079192</v>
      </c>
      <c r="I24" s="110">
        <f t="shared" si="2"/>
        <v>-103996.88</v>
      </c>
      <c r="J24" s="110">
        <f t="shared" si="3"/>
        <v>25.769536045681658</v>
      </c>
      <c r="K24" s="174">
        <f>F24-24046.28</f>
        <v>12056.840000000004</v>
      </c>
      <c r="L24" s="174">
        <f>F24/24046.28*100</f>
        <v>150.14014641765797</v>
      </c>
      <c r="M24" s="111">
        <f>E24-березень!E24</f>
        <v>11670</v>
      </c>
      <c r="N24" s="179">
        <f>F24-березень!F24</f>
        <v>223.7800000000061</v>
      </c>
      <c r="O24" s="112">
        <f t="shared" si="4"/>
        <v>-11446.219999999994</v>
      </c>
      <c r="P24" s="110">
        <f t="shared" si="5"/>
        <v>1.9175664095973104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24.81</v>
      </c>
      <c r="G25" s="36">
        <f>F25-E25</f>
        <v>5.299999999999997</v>
      </c>
      <c r="H25" s="32">
        <f t="shared" si="1"/>
        <v>127.16555612506406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E25-березень!E25</f>
        <v>5.500000000000002</v>
      </c>
      <c r="N25" s="178">
        <f>F25-березень!F25</f>
        <v>0</v>
      </c>
      <c r="O25" s="40">
        <f t="shared" si="4"/>
        <v>-5.500000000000002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-85.13</v>
      </c>
      <c r="G26" s="36">
        <f aca="true" t="shared" si="6" ref="G26:G32">F26-E26</f>
        <v>-85.13</v>
      </c>
      <c r="H26" s="32"/>
      <c r="I26" s="42">
        <f t="shared" si="2"/>
        <v>-85.13</v>
      </c>
      <c r="J26" s="42"/>
      <c r="K26" s="132">
        <f>F26-12.89</f>
        <v>-98.02</v>
      </c>
      <c r="L26" s="132">
        <f>F26/12.89*100</f>
        <v>-660.4344453064391</v>
      </c>
      <c r="M26" s="32">
        <f>E26-березень!E26</f>
        <v>0</v>
      </c>
      <c r="N26" s="178">
        <f>F26-березень!F26</f>
        <v>-3.589999999999989</v>
      </c>
      <c r="O26" s="40">
        <f t="shared" si="4"/>
        <v>-3.589999999999989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39244.23</v>
      </c>
      <c r="G27" s="36">
        <f t="shared" si="6"/>
        <v>-6251.009999999995</v>
      </c>
      <c r="H27" s="32">
        <f t="shared" si="1"/>
        <v>86.26007907640448</v>
      </c>
      <c r="I27" s="42">
        <f t="shared" si="2"/>
        <v>-70218.76999999999</v>
      </c>
      <c r="J27" s="42">
        <f t="shared" si="3"/>
        <v>35.85159368919179</v>
      </c>
      <c r="K27" s="106">
        <f>F27-25338.21</f>
        <v>13906.020000000004</v>
      </c>
      <c r="L27" s="106">
        <f>F27/25338.21*100</f>
        <v>154.8816194987728</v>
      </c>
      <c r="M27" s="32">
        <f>E27-березень!E27</f>
        <v>8200</v>
      </c>
      <c r="N27" s="178">
        <f>F27-березень!F27</f>
        <v>631.5200000000041</v>
      </c>
      <c r="O27" s="40">
        <f t="shared" si="4"/>
        <v>-7568.479999999996</v>
      </c>
      <c r="P27" s="42">
        <f>N27/M27*100</f>
        <v>7.701463414634197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E28-березень!E28</f>
        <v>0</v>
      </c>
      <c r="N28" s="179">
        <f>F28-березень!F28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9876.04</v>
      </c>
      <c r="G29" s="109">
        <f t="shared" si="6"/>
        <v>-1379.9299999999985</v>
      </c>
      <c r="H29" s="111">
        <f t="shared" si="1"/>
        <v>87.7404612841008</v>
      </c>
      <c r="I29" s="110">
        <f t="shared" si="2"/>
        <v>-17723.96</v>
      </c>
      <c r="J29" s="110">
        <f t="shared" si="3"/>
        <v>35.782753623188405</v>
      </c>
      <c r="K29" s="142">
        <f>F29-6631.29</f>
        <v>3244.750000000001</v>
      </c>
      <c r="L29" s="142">
        <f>F29/6631.29*100</f>
        <v>148.9309018305639</v>
      </c>
      <c r="M29" s="111">
        <f>E29-березень!E29</f>
        <v>1900</v>
      </c>
      <c r="N29" s="179">
        <f>F29-березень!F29</f>
        <v>63.55000000000109</v>
      </c>
      <c r="O29" s="112">
        <f t="shared" si="4"/>
        <v>-1836.449999999999</v>
      </c>
      <c r="P29" s="110">
        <f>N29/M29*100</f>
        <v>3.3447368421053203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29360.34</v>
      </c>
      <c r="G30" s="109">
        <f t="shared" si="6"/>
        <v>-4875.740000000002</v>
      </c>
      <c r="H30" s="111">
        <f t="shared" si="1"/>
        <v>85.75847468518592</v>
      </c>
      <c r="I30" s="110">
        <f t="shared" si="2"/>
        <v>-52451.66</v>
      </c>
      <c r="J30" s="110">
        <f t="shared" si="3"/>
        <v>35.88757150540263</v>
      </c>
      <c r="K30" s="142">
        <f>F30-18703.62</f>
        <v>10656.720000000001</v>
      </c>
      <c r="L30" s="142">
        <f>F30/18603.62*100</f>
        <v>157.82057470535304</v>
      </c>
      <c r="M30" s="111">
        <f>E30-березень!E30</f>
        <v>6300</v>
      </c>
      <c r="N30" s="179">
        <f>F30-березень!F30</f>
        <v>567.9599999999991</v>
      </c>
      <c r="O30" s="112">
        <f t="shared" si="4"/>
        <v>-5732.040000000001</v>
      </c>
      <c r="P30" s="110">
        <f>N30/M30*100</f>
        <v>9.015238095238082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14641.310000000001</v>
      </c>
      <c r="G33" s="15">
        <f>G34+G35+G36+G37+G38+G39+G41+G42+G43+G44+G45+G50+G51+G55</f>
        <v>395.29999999999984</v>
      </c>
      <c r="H33" s="38">
        <f>F33/E33*100</f>
        <v>102.77466774954146</v>
      </c>
      <c r="I33" s="28">
        <f>F33-D33</f>
        <v>-28178.69</v>
      </c>
      <c r="J33" s="28">
        <f>F33/D33*100</f>
        <v>34.19269033162074</v>
      </c>
      <c r="K33" s="15">
        <f>F33-7649.28</f>
        <v>6992.030000000002</v>
      </c>
      <c r="L33" s="15">
        <f>F33/7649.28*100</f>
        <v>191.40768804384206</v>
      </c>
      <c r="M33" s="15">
        <f>M34+M35+M36+M37+M38+M39+M41+M42+M43+M44+M45+M50+M51+M55</f>
        <v>3735.999</v>
      </c>
      <c r="N33" s="15">
        <f>N34+N35+N36+N37+N38+N39+N41+N42+N43+N44+N45+N50+N51+N55</f>
        <v>3969.04</v>
      </c>
      <c r="O33" s="15">
        <f>O34+O35+O36+O37+O38+O39+O41+O42+O43+O44+O45+O50+O51+O55</f>
        <v>233.04099999999994</v>
      </c>
      <c r="P33" s="15">
        <f>N33/M33*100</f>
        <v>106.23771580238646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26.96</v>
      </c>
      <c r="G36" s="36">
        <f t="shared" si="9"/>
        <v>-44.48</v>
      </c>
      <c r="H36" s="32">
        <f t="shared" si="7"/>
        <v>37.73796192609183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E36-березень!E36</f>
        <v>20</v>
      </c>
      <c r="N36" s="178">
        <f>F36-березень!F36</f>
        <v>0</v>
      </c>
      <c r="O36" s="40">
        <f t="shared" si="11"/>
        <v>-20</v>
      </c>
      <c r="P36" s="42">
        <f t="shared" si="8"/>
        <v>0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20.4</v>
      </c>
      <c r="G38" s="36">
        <f t="shared" si="9"/>
        <v>-19.6</v>
      </c>
      <c r="H38" s="32">
        <f t="shared" si="7"/>
        <v>51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E38-березень!E38</f>
        <v>10</v>
      </c>
      <c r="N38" s="178">
        <f>F38-березень!F38</f>
        <v>0</v>
      </c>
      <c r="O38" s="40">
        <f t="shared" si="11"/>
        <v>-10</v>
      </c>
      <c r="P38" s="42">
        <f t="shared" si="8"/>
        <v>0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2396.59</v>
      </c>
      <c r="G41" s="36">
        <f t="shared" si="9"/>
        <v>-542.4299999999998</v>
      </c>
      <c r="H41" s="32">
        <f t="shared" si="7"/>
        <v>81.54384794931644</v>
      </c>
      <c r="I41" s="42">
        <f t="shared" si="10"/>
        <v>-7503.41</v>
      </c>
      <c r="J41" s="42">
        <f t="shared" si="12"/>
        <v>24.2079797979798</v>
      </c>
      <c r="K41" s="42">
        <f>F41-2528.58</f>
        <v>-131.98999999999978</v>
      </c>
      <c r="L41" s="42">
        <f>F41/2528.58*100</f>
        <v>94.7800741918389</v>
      </c>
      <c r="M41" s="32">
        <f>E41-березень!E41</f>
        <v>800</v>
      </c>
      <c r="N41" s="178">
        <f>F41-березень!F41</f>
        <v>57.01000000000022</v>
      </c>
      <c r="O41" s="40">
        <f t="shared" si="11"/>
        <v>-742.9899999999998</v>
      </c>
      <c r="P41" s="42">
        <f t="shared" si="8"/>
        <v>7.126250000000027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390</v>
      </c>
      <c r="F42" s="170">
        <v>1.2</v>
      </c>
      <c r="G42" s="36">
        <f t="shared" si="9"/>
        <v>-388.8</v>
      </c>
      <c r="H42" s="32">
        <f t="shared" si="7"/>
        <v>0.3076923076923077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E42-березень!E42</f>
        <v>130</v>
      </c>
      <c r="N42" s="178">
        <f>F42-березень!F42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2631.35</v>
      </c>
      <c r="G44" s="36">
        <f t="shared" si="9"/>
        <v>-34.88000000000011</v>
      </c>
      <c r="H44" s="32">
        <f t="shared" si="7"/>
        <v>98.69178577992146</v>
      </c>
      <c r="I44" s="42">
        <f t="shared" si="10"/>
        <v>-5868.65</v>
      </c>
      <c r="J44" s="42">
        <f t="shared" si="12"/>
        <v>30.957058823529408</v>
      </c>
      <c r="K44" s="42">
        <f>F44-1946.14</f>
        <v>685.2099999999998</v>
      </c>
      <c r="L44" s="42">
        <f>F44/1946.14*100</f>
        <v>135.20866946879462</v>
      </c>
      <c r="M44" s="32">
        <f>E44-березень!E44</f>
        <v>650</v>
      </c>
      <c r="N44" s="178">
        <f>F44-березень!F44</f>
        <v>629.8199999999999</v>
      </c>
      <c r="O44" s="40">
        <f t="shared" si="11"/>
        <v>-20.180000000000064</v>
      </c>
      <c r="P44" s="42">
        <f t="shared" si="8"/>
        <v>96.8953846153846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1551.28</v>
      </c>
      <c r="G45" s="36">
        <f t="shared" si="9"/>
        <v>-462.9100000000001</v>
      </c>
      <c r="H45" s="32">
        <f t="shared" si="7"/>
        <v>77.01756040889886</v>
      </c>
      <c r="I45" s="42">
        <f t="shared" si="10"/>
        <v>-5748.72</v>
      </c>
      <c r="J45" s="42">
        <f t="shared" si="12"/>
        <v>21.25041095890411</v>
      </c>
      <c r="K45" s="132">
        <f>F45-2181.98</f>
        <v>-630.7</v>
      </c>
      <c r="L45" s="132">
        <f>F45/2181.98*100</f>
        <v>71.09506044968332</v>
      </c>
      <c r="M45" s="32">
        <f>E45-березень!E45</f>
        <v>641</v>
      </c>
      <c r="N45" s="178">
        <f>F45-березень!F45</f>
        <v>51.180000000000064</v>
      </c>
      <c r="O45" s="40">
        <f t="shared" si="11"/>
        <v>-589.8199999999999</v>
      </c>
      <c r="P45" s="132">
        <f t="shared" si="8"/>
        <v>7.984399375975048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171.17</v>
      </c>
      <c r="G46" s="36">
        <f t="shared" si="9"/>
        <v>-117.82000000000002</v>
      </c>
      <c r="H46" s="32">
        <f t="shared" si="7"/>
        <v>59.23042319803453</v>
      </c>
      <c r="I46" s="110">
        <f t="shared" si="10"/>
        <v>-928.83</v>
      </c>
      <c r="J46" s="110">
        <f t="shared" si="12"/>
        <v>15.560909090909089</v>
      </c>
      <c r="K46" s="110">
        <f>F46-216.18</f>
        <v>-45.01000000000002</v>
      </c>
      <c r="L46" s="110">
        <f>F46/216.18*100</f>
        <v>79.17938754741418</v>
      </c>
      <c r="M46" s="111">
        <f>E46-березень!E46</f>
        <v>100</v>
      </c>
      <c r="N46" s="179">
        <f>F46-березень!F46</f>
        <v>7.489999999999981</v>
      </c>
      <c r="O46" s="112">
        <f t="shared" si="11"/>
        <v>-92.51000000000002</v>
      </c>
      <c r="P46" s="132">
        <f t="shared" si="8"/>
        <v>7.48999999999998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F48-0.53</f>
        <v>-0.53</v>
      </c>
      <c r="L48" s="110">
        <f>F48/0.53*100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1379.99</v>
      </c>
      <c r="G49" s="36">
        <f t="shared" si="9"/>
        <v>-342.18000000000006</v>
      </c>
      <c r="H49" s="32">
        <f t="shared" si="7"/>
        <v>80.13088138801628</v>
      </c>
      <c r="I49" s="110">
        <f t="shared" si="10"/>
        <v>-4774.01</v>
      </c>
      <c r="J49" s="110">
        <f t="shared" si="12"/>
        <v>22.424276893077675</v>
      </c>
      <c r="K49" s="110">
        <f>F49-1921.57</f>
        <v>-541.5799999999999</v>
      </c>
      <c r="L49" s="110">
        <f>F49/1921.57*100</f>
        <v>71.81575482548125</v>
      </c>
      <c r="M49" s="111">
        <f>E49-березень!E49</f>
        <v>540</v>
      </c>
      <c r="N49" s="179">
        <f>F49-березень!F49</f>
        <v>43.690000000000055</v>
      </c>
      <c r="O49" s="112">
        <f t="shared" si="11"/>
        <v>-496.30999999999995</v>
      </c>
      <c r="P49" s="132">
        <f t="shared" si="8"/>
        <v>8.09074074074075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1129.84</v>
      </c>
      <c r="G51" s="36">
        <f t="shared" si="9"/>
        <v>-348.1400000000001</v>
      </c>
      <c r="H51" s="32">
        <f t="shared" si="7"/>
        <v>76.44487746789537</v>
      </c>
      <c r="I51" s="42">
        <f t="shared" si="10"/>
        <v>-3670.16</v>
      </c>
      <c r="J51" s="42">
        <f t="shared" si="12"/>
        <v>23.53833333333333</v>
      </c>
      <c r="K51" s="42">
        <f>F51-960.47</f>
        <v>169.3699999999999</v>
      </c>
      <c r="L51" s="42">
        <f>F51/960.47*100</f>
        <v>117.63407498412235</v>
      </c>
      <c r="M51" s="32">
        <f>E51-березень!E51</f>
        <v>470</v>
      </c>
      <c r="N51" s="178">
        <f>F51-березень!F51</f>
        <v>15</v>
      </c>
      <c r="O51" s="40">
        <f t="shared" si="11"/>
        <v>-455</v>
      </c>
      <c r="P51" s="42">
        <f t="shared" si="8"/>
        <v>3.1914893617021276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242.7</v>
      </c>
      <c r="G53" s="36"/>
      <c r="H53" s="32"/>
      <c r="I53" s="42"/>
      <c r="J53" s="42"/>
      <c r="K53" s="112">
        <f>F53-239.6</f>
        <v>3.0999999999999943</v>
      </c>
      <c r="L53" s="112">
        <f>F53/239.6*100</f>
        <v>101.29382303839733</v>
      </c>
      <c r="M53" s="32">
        <f>E53-березень!E53</f>
        <v>0</v>
      </c>
      <c r="N53" s="179">
        <f>F53-березень!F53</f>
        <v>13.799999999999983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13.52</v>
      </c>
      <c r="G56" s="36">
        <f t="shared" si="9"/>
        <v>5.92</v>
      </c>
      <c r="H56" s="32">
        <f t="shared" si="7"/>
        <v>177.89473684210526</v>
      </c>
      <c r="I56" s="42">
        <f t="shared" si="10"/>
        <v>-16.48</v>
      </c>
      <c r="J56" s="42">
        <f t="shared" si="12"/>
        <v>45.06666666666666</v>
      </c>
      <c r="K56" s="42">
        <f>F56-6.1</f>
        <v>7.42</v>
      </c>
      <c r="L56" s="42">
        <f>F56/6.1*100</f>
        <v>221.63934426229508</v>
      </c>
      <c r="M56" s="32">
        <f>E56-березень!E56</f>
        <v>2.3</v>
      </c>
      <c r="N56" s="178">
        <f>F56-березень!F56</f>
        <v>7.72</v>
      </c>
      <c r="O56" s="40">
        <f t="shared" si="11"/>
        <v>5.42</v>
      </c>
      <c r="P56" s="42">
        <f t="shared" si="8"/>
        <v>335.6521739130435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E57-березень!E57</f>
        <v>0</v>
      </c>
      <c r="N57" s="178">
        <f>F57-березень!F57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227006.45999999996</v>
      </c>
      <c r="G58" s="37">
        <f>F58-E58</f>
        <v>-58921.84999999998</v>
      </c>
      <c r="H58" s="38">
        <f>F58/E58*100</f>
        <v>79.39278905261253</v>
      </c>
      <c r="I58" s="28">
        <f>F58-D58</f>
        <v>-656894.14</v>
      </c>
      <c r="J58" s="28">
        <f>F58/D58*100</f>
        <v>25.68235161283972</v>
      </c>
      <c r="K58" s="28">
        <f>F58-147138.18</f>
        <v>79868.27999999997</v>
      </c>
      <c r="L58" s="28">
        <f>F58/147138.18*100</f>
        <v>154.28113899465112</v>
      </c>
      <c r="M58" s="15">
        <f>M8+M33+M56+M57</f>
        <v>75098.79899999998</v>
      </c>
      <c r="N58" s="15">
        <f>N8+N33+N56+N57</f>
        <v>6540.679999999984</v>
      </c>
      <c r="O58" s="41">
        <f>N58-M58</f>
        <v>-68558.119</v>
      </c>
      <c r="P58" s="28">
        <f>N58/M58*100</f>
        <v>8.709433555655112</v>
      </c>
      <c r="Q58" s="28">
        <f>N58-34768</f>
        <v>-28227.320000000014</v>
      </c>
      <c r="R58" s="128">
        <f>N58/34768</f>
        <v>0.18812356189599586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 hidden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0.15</v>
      </c>
      <c r="G67" s="36">
        <f aca="true" t="shared" si="13" ref="G67:G77">F67-E67</f>
        <v>-366.45000000000005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E67-березень!E67</f>
        <v>294.6</v>
      </c>
      <c r="N67" s="178">
        <f>F67-березень!F67</f>
        <v>0</v>
      </c>
      <c r="O67" s="40">
        <f aca="true" t="shared" si="15" ref="O67:O80">N67-M67</f>
        <v>-294.6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351.04</v>
      </c>
      <c r="G68" s="36">
        <f t="shared" si="13"/>
        <v>-1282.97</v>
      </c>
      <c r="H68" s="32">
        <f>F68/E68*100</f>
        <v>21.483344655173468</v>
      </c>
      <c r="I68" s="43">
        <f t="shared" si="14"/>
        <v>-7107.96</v>
      </c>
      <c r="J68" s="43">
        <f>F68/D68*100</f>
        <v>4.706260892881083</v>
      </c>
      <c r="K68" s="43">
        <f>F68-1409.78</f>
        <v>-1058.74</v>
      </c>
      <c r="L68" s="43">
        <f>F68/1409.78*100</f>
        <v>24.900339059995176</v>
      </c>
      <c r="M68" s="32">
        <f>E68-березень!E68</f>
        <v>242.5999999999999</v>
      </c>
      <c r="N68" s="178">
        <f>F68-березень!F68</f>
        <v>32.400000000000034</v>
      </c>
      <c r="O68" s="40">
        <f t="shared" si="15"/>
        <v>-210.19999999999987</v>
      </c>
      <c r="P68" s="43">
        <f>N68/M68*100</f>
        <v>13.355317394888724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7957.09</v>
      </c>
      <c r="G69" s="36">
        <f t="shared" si="13"/>
        <v>6768.24</v>
      </c>
      <c r="H69" s="32">
        <f>F69/E69*100</f>
        <v>669.3098372376667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E69-березень!E69</f>
        <v>301.9999999999999</v>
      </c>
      <c r="N69" s="178">
        <f>F69-березень!F69</f>
        <v>0</v>
      </c>
      <c r="O69" s="40">
        <f t="shared" si="15"/>
        <v>-301.9999999999999</v>
      </c>
      <c r="P69" s="43">
        <f>N69/M69*100</f>
        <v>0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3</v>
      </c>
      <c r="G70" s="36">
        <f t="shared" si="13"/>
        <v>-1</v>
      </c>
      <c r="H70" s="32">
        <f>F70/E70*100</f>
        <v>75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E70-березень!E70</f>
        <v>1</v>
      </c>
      <c r="N70" s="178">
        <f>F70-березень!F70</f>
        <v>0</v>
      </c>
      <c r="O70" s="40">
        <f t="shared" si="15"/>
        <v>-1</v>
      </c>
      <c r="P70" s="43">
        <f>N70/M70*100</f>
        <v>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8311.28</v>
      </c>
      <c r="G71" s="45">
        <f t="shared" si="13"/>
        <v>5117.820000000001</v>
      </c>
      <c r="H71" s="52">
        <f>F71/E71*100</f>
        <v>260.2594051592943</v>
      </c>
      <c r="I71" s="44">
        <f t="shared" si="14"/>
        <v>-9359.72</v>
      </c>
      <c r="J71" s="44">
        <f>F71/D71*100</f>
        <v>47.03344462678966</v>
      </c>
      <c r="K71" s="44">
        <f>F71-1454.31</f>
        <v>6856.970000000001</v>
      </c>
      <c r="L71" s="44">
        <f>F71/1454.31*100</f>
        <v>571.4930104310636</v>
      </c>
      <c r="M71" s="45">
        <f>M67+M68+M69+M70</f>
        <v>840.1999999999998</v>
      </c>
      <c r="N71" s="183">
        <f>N67+N68+N69+N70</f>
        <v>32.400000000000034</v>
      </c>
      <c r="O71" s="44">
        <f t="shared" si="15"/>
        <v>-807.7999999999997</v>
      </c>
      <c r="P71" s="44">
        <f>N71/M71*100</f>
        <v>3.856224708402766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E72-березень!E72</f>
        <v>0</v>
      </c>
      <c r="N72" s="178">
        <f>F72-березень!F72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2019.09</v>
      </c>
      <c r="G74" s="36">
        <f t="shared" si="13"/>
        <v>-1.6100000000001273</v>
      </c>
      <c r="H74" s="32">
        <f>F74/E74*100</f>
        <v>99.92032463997624</v>
      </c>
      <c r="I74" s="43">
        <f t="shared" si="14"/>
        <v>-7480.91</v>
      </c>
      <c r="J74" s="40">
        <f>F74/D74*100</f>
        <v>21.25357894736842</v>
      </c>
      <c r="K74" s="40">
        <f>F74-0</f>
        <v>2019.09</v>
      </c>
      <c r="L74" s="43"/>
      <c r="M74" s="32">
        <f>E74-березень!E74</f>
        <v>15</v>
      </c>
      <c r="N74" s="178">
        <f>F74-березень!F74</f>
        <v>0.08999999999991815</v>
      </c>
      <c r="O74" s="40">
        <f>N74-M74</f>
        <v>-14.910000000000082</v>
      </c>
      <c r="P74" s="46">
        <f>N74/M74*100</f>
        <v>0.5999999999994543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2019.9299999999998</v>
      </c>
      <c r="G76" s="30">
        <f>G72+G75+G73+G74</f>
        <v>-0.7700000000001272</v>
      </c>
      <c r="H76" s="52">
        <f>F76/E76*100</f>
        <v>99.9618943930321</v>
      </c>
      <c r="I76" s="44">
        <f t="shared" si="14"/>
        <v>-7481.07</v>
      </c>
      <c r="J76" s="44">
        <f>F76/D76*100</f>
        <v>21.260183138616988</v>
      </c>
      <c r="K76" s="44">
        <f>F76-0.58</f>
        <v>2019.35</v>
      </c>
      <c r="L76" s="44">
        <f>F76/0.58*100</f>
        <v>348263.7931034483</v>
      </c>
      <c r="M76" s="45">
        <f>M72+M75+M73+M74</f>
        <v>15</v>
      </c>
      <c r="N76" s="183">
        <f>N72+N75+N73+N74</f>
        <v>0.08999999999991815</v>
      </c>
      <c r="O76" s="45">
        <f>O72+O75+O73+O74</f>
        <v>-14.910000000000082</v>
      </c>
      <c r="P76" s="44">
        <f>N76/M76*100</f>
        <v>0.5999999999994543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10340.130000000001</v>
      </c>
      <c r="G79" s="37">
        <f>F79-E79</f>
        <v>5112.830000000001</v>
      </c>
      <c r="H79" s="38">
        <f>F79/E79*100</f>
        <v>197.81015055573624</v>
      </c>
      <c r="I79" s="28">
        <f>F79-D79</f>
        <v>-16874.87</v>
      </c>
      <c r="J79" s="28">
        <f>F79/D79*100</f>
        <v>37.99423112254272</v>
      </c>
      <c r="K79" s="28">
        <f>F79-1453.19</f>
        <v>8886.94</v>
      </c>
      <c r="L79" s="28">
        <f>F79/1453.19*100</f>
        <v>711.5470103702888</v>
      </c>
      <c r="M79" s="24">
        <f>M65+M77+M71+M76</f>
        <v>855.6299999999998</v>
      </c>
      <c r="N79" s="24">
        <f>N65+N77+N71+N76+N78</f>
        <v>32.48999999999995</v>
      </c>
      <c r="O79" s="28">
        <f t="shared" si="15"/>
        <v>-823.1399999999999</v>
      </c>
      <c r="P79" s="28">
        <f>N79/M79*100</f>
        <v>3.797202061638788</v>
      </c>
      <c r="Q79" s="28">
        <f>N79-8104.96</f>
        <v>-8072.47</v>
      </c>
      <c r="R79" s="101">
        <f>N79/8104.96</f>
        <v>0.004008656427668977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237346.58999999997</v>
      </c>
      <c r="G80" s="37">
        <f>F80-E80</f>
        <v>-53809.01999999996</v>
      </c>
      <c r="H80" s="38">
        <f>F80/E80*100</f>
        <v>81.51881050823648</v>
      </c>
      <c r="I80" s="28">
        <f>F80-D80</f>
        <v>-673769.01</v>
      </c>
      <c r="J80" s="28">
        <f>F80/D80*100</f>
        <v>26.050107143374557</v>
      </c>
      <c r="K80" s="28">
        <f>K58+K79</f>
        <v>88755.21999999997</v>
      </c>
      <c r="L80" s="28">
        <f>F80/139550.7*100</f>
        <v>170.07911103276442</v>
      </c>
      <c r="M80" s="15">
        <f>M58+M79</f>
        <v>75954.42899999999</v>
      </c>
      <c r="N80" s="15">
        <f>N58+N79</f>
        <v>6573.169999999984</v>
      </c>
      <c r="O80" s="28">
        <f t="shared" si="15"/>
        <v>-69381.259</v>
      </c>
      <c r="P80" s="28">
        <f>N80/M80*100</f>
        <v>8.654097050746026</v>
      </c>
      <c r="Q80" s="28">
        <f>N80-42872.96</f>
        <v>-36299.790000000015</v>
      </c>
      <c r="R80" s="101">
        <f>N80/42872.96</f>
        <v>0.15331738233142717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19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3608.3220526315795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42464</v>
      </c>
      <c r="D84" s="31">
        <v>2210.9</v>
      </c>
      <c r="G84" s="4" t="s">
        <v>59</v>
      </c>
      <c r="N84" s="195"/>
      <c r="O84" s="195"/>
    </row>
    <row r="85" spans="3:15" ht="15">
      <c r="C85" s="87">
        <v>42461</v>
      </c>
      <c r="D85" s="31">
        <v>4329.7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42460</v>
      </c>
      <c r="D86" s="31">
        <v>3666.9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32.408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148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147</v>
      </c>
      <c r="N3" s="220" t="s">
        <v>143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146</v>
      </c>
      <c r="F4" s="203" t="s">
        <v>34</v>
      </c>
      <c r="G4" s="197" t="s">
        <v>141</v>
      </c>
      <c r="H4" s="205" t="s">
        <v>142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149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8.7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144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10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228.9</v>
      </c>
      <c r="G53" s="36"/>
      <c r="H53" s="32"/>
      <c r="I53" s="42"/>
      <c r="J53" s="42"/>
      <c r="K53" s="112">
        <f>F53-239.6</f>
        <v>-10.699999999999989</v>
      </c>
      <c r="L53" s="112">
        <f>F53/239.6*100</f>
        <v>95.53422370617697</v>
      </c>
      <c r="M53" s="111"/>
      <c r="N53" s="179">
        <f>F53-лютий!F53</f>
        <v>81.6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195"/>
      <c r="O84" s="195"/>
    </row>
    <row r="85" spans="3:15" ht="15">
      <c r="C85" s="87">
        <v>42459</v>
      </c>
      <c r="D85" s="31">
        <v>7576.3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42458</v>
      </c>
      <c r="D86" s="31">
        <v>9190.1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f>4343.7</f>
        <v>4343.7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8" sqref="E28:E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23" t="s">
        <v>128</v>
      </c>
      <c r="N3" s="220" t="s">
        <v>119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127</v>
      </c>
      <c r="F4" s="203" t="s">
        <v>34</v>
      </c>
      <c r="G4" s="197" t="s">
        <v>116</v>
      </c>
      <c r="H4" s="205" t="s">
        <v>117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140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118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5"/>
      <c r="O84" s="195"/>
    </row>
    <row r="85" spans="3:15" ht="15">
      <c r="C85" s="87">
        <v>42426</v>
      </c>
      <c r="D85" s="31">
        <v>6256.2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42425</v>
      </c>
      <c r="D86" s="31">
        <v>3536.9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505.3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71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135</v>
      </c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23" t="s">
        <v>132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129</v>
      </c>
      <c r="F4" s="203" t="s">
        <v>34</v>
      </c>
      <c r="G4" s="197" t="s">
        <v>130</v>
      </c>
      <c r="H4" s="205" t="s">
        <v>131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24" t="s">
        <v>133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134</v>
      </c>
      <c r="L5" s="201"/>
      <c r="M5" s="206"/>
      <c r="N5" s="225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5"/>
      <c r="O84" s="195"/>
    </row>
    <row r="85" spans="3:15" ht="15">
      <c r="C85" s="87">
        <v>42397</v>
      </c>
      <c r="D85" s="31">
        <v>8685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42396</v>
      </c>
      <c r="D86" s="31">
        <v>4820.3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300.92</v>
      </c>
      <c r="E88" s="74"/>
      <c r="F88" s="140"/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136</v>
      </c>
      <c r="C3" s="214" t="s">
        <v>0</v>
      </c>
      <c r="D3" s="215" t="s">
        <v>115</v>
      </c>
      <c r="E3" s="34"/>
      <c r="F3" s="216" t="s">
        <v>26</v>
      </c>
      <c r="G3" s="217"/>
      <c r="H3" s="217"/>
      <c r="I3" s="217"/>
      <c r="J3" s="218"/>
      <c r="K3" s="89"/>
      <c r="L3" s="89"/>
      <c r="M3" s="223" t="s">
        <v>107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104</v>
      </c>
      <c r="F4" s="226" t="s">
        <v>34</v>
      </c>
      <c r="G4" s="197" t="s">
        <v>109</v>
      </c>
      <c r="H4" s="205" t="s">
        <v>110</v>
      </c>
      <c r="I4" s="197" t="s">
        <v>105</v>
      </c>
      <c r="J4" s="205" t="s">
        <v>106</v>
      </c>
      <c r="K4" s="91" t="s">
        <v>65</v>
      </c>
      <c r="L4" s="96" t="s">
        <v>64</v>
      </c>
      <c r="M4" s="205"/>
      <c r="N4" s="224" t="s">
        <v>103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6.5" customHeight="1">
      <c r="A5" s="212"/>
      <c r="B5" s="213"/>
      <c r="C5" s="214"/>
      <c r="D5" s="215"/>
      <c r="E5" s="222"/>
      <c r="F5" s="227"/>
      <c r="G5" s="198"/>
      <c r="H5" s="206"/>
      <c r="I5" s="198"/>
      <c r="J5" s="206"/>
      <c r="K5" s="200" t="s">
        <v>108</v>
      </c>
      <c r="L5" s="201"/>
      <c r="M5" s="206"/>
      <c r="N5" s="225"/>
      <c r="O5" s="198"/>
      <c r="P5" s="199"/>
      <c r="Q5" s="200" t="s">
        <v>126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2"/>
      <c r="H82" s="202"/>
      <c r="I82" s="202"/>
      <c r="J82" s="20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5"/>
      <c r="O83" s="195"/>
    </row>
    <row r="84" spans="3:15" ht="15">
      <c r="C84" s="87">
        <v>42397</v>
      </c>
      <c r="D84" s="31">
        <v>8685</v>
      </c>
      <c r="F84" s="166" t="s">
        <v>59</v>
      </c>
      <c r="G84" s="189"/>
      <c r="H84" s="189"/>
      <c r="I84" s="131"/>
      <c r="J84" s="192"/>
      <c r="K84" s="192"/>
      <c r="L84" s="192"/>
      <c r="M84" s="192"/>
      <c r="N84" s="195"/>
      <c r="O84" s="195"/>
    </row>
    <row r="85" spans="3:15" ht="15.75" customHeight="1">
      <c r="C85" s="87">
        <v>42396</v>
      </c>
      <c r="D85" s="31">
        <v>4820.3</v>
      </c>
      <c r="F85" s="167"/>
      <c r="G85" s="189"/>
      <c r="H85" s="189"/>
      <c r="I85" s="131"/>
      <c r="J85" s="196"/>
      <c r="K85" s="196"/>
      <c r="L85" s="196"/>
      <c r="M85" s="196"/>
      <c r="N85" s="195"/>
      <c r="O85" s="195"/>
    </row>
    <row r="86" spans="3:13" ht="15.75" customHeight="1">
      <c r="C86" s="87"/>
      <c r="F86" s="167"/>
      <c r="G86" s="191"/>
      <c r="H86" s="191"/>
      <c r="I86" s="139"/>
      <c r="J86" s="192"/>
      <c r="K86" s="192"/>
      <c r="L86" s="192"/>
      <c r="M86" s="192"/>
    </row>
    <row r="87" spans="2:13" ht="18.75" customHeight="1">
      <c r="B87" s="193" t="s">
        <v>57</v>
      </c>
      <c r="C87" s="194"/>
      <c r="D87" s="148">
        <v>300.92</v>
      </c>
      <c r="E87" s="74"/>
      <c r="F87" s="168"/>
      <c r="G87" s="189"/>
      <c r="H87" s="189"/>
      <c r="I87" s="141"/>
      <c r="J87" s="192"/>
      <c r="K87" s="192"/>
      <c r="L87" s="192"/>
      <c r="M87" s="192"/>
    </row>
    <row r="88" spans="6:12" ht="9.75" customHeight="1">
      <c r="F88" s="167"/>
      <c r="G88" s="189"/>
      <c r="H88" s="189"/>
      <c r="I88" s="73"/>
      <c r="J88" s="74"/>
      <c r="K88" s="74"/>
      <c r="L88" s="74"/>
    </row>
    <row r="89" spans="2:12" ht="22.5" customHeight="1" hidden="1">
      <c r="B89" s="187" t="s">
        <v>60</v>
      </c>
      <c r="C89" s="188"/>
      <c r="D89" s="86">
        <v>0</v>
      </c>
      <c r="E89" s="56" t="s">
        <v>24</v>
      </c>
      <c r="F89" s="167"/>
      <c r="G89" s="189"/>
      <c r="H89" s="18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9"/>
      <c r="O90" s="189"/>
    </row>
    <row r="91" spans="4:15" ht="15">
      <c r="D91" s="83"/>
      <c r="I91" s="31"/>
      <c r="N91" s="190"/>
      <c r="O91" s="190"/>
    </row>
    <row r="92" spans="14:15" ht="15">
      <c r="N92" s="189"/>
      <c r="O92" s="18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2016-04-05T08:19:48Z</cp:lastPrinted>
  <dcterms:created xsi:type="dcterms:W3CDTF">2003-07-28T11:27:56Z</dcterms:created>
  <dcterms:modified xsi:type="dcterms:W3CDTF">2016-04-05T08:35:37Z</dcterms:modified>
  <cp:category/>
  <cp:version/>
  <cp:contentType/>
  <cp:contentStatus/>
</cp:coreProperties>
</file>